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rt Here" sheetId="1" r:id="rId4"/>
    <sheet state="visible" name="Dashboard" sheetId="2" r:id="rId5"/>
    <sheet state="visible" name="5 Year Projected " sheetId="3" r:id="rId6"/>
  </sheets>
  <definedNames/>
  <calcPr/>
</workbook>
</file>

<file path=xl/sharedStrings.xml><?xml version="1.0" encoding="utf-8"?>
<sst xmlns="http://schemas.openxmlformats.org/spreadsheetml/2006/main" count="135" uniqueCount="130">
  <si>
    <r>
      <rPr>
        <rFont val="Arial"/>
        <color rgb="FF1155CC"/>
        <sz val="12.0"/>
        <u/>
      </rPr>
      <t>🛒</t>
    </r>
    <r>
      <rPr>
        <rFont val="Arial"/>
        <color rgb="FFF3D185"/>
        <sz val="12.0"/>
        <u/>
      </rPr>
      <t xml:space="preserve"> Shop Hello Marketing Studio</t>
    </r>
  </si>
  <si>
    <r>
      <rPr>
        <rFont val="Arial"/>
        <color rgb="FF1155CC"/>
        <sz val="12.0"/>
        <u/>
      </rPr>
      <t xml:space="preserve">📊 </t>
    </r>
    <r>
      <rPr>
        <rFont val="Arial"/>
        <color rgb="FF000000"/>
        <sz val="12.0"/>
        <u/>
      </rPr>
      <t>Get Airbnb Revenue Estimation</t>
    </r>
  </si>
  <si>
    <t>10% Off Coupon on your  next purchase</t>
  </si>
  <si>
    <t>Code: TST10PERCENTOFF</t>
  </si>
  <si>
    <t>Start Here</t>
  </si>
  <si>
    <t>1.</t>
  </si>
  <si>
    <r>
      <rPr>
        <rFont val="Arial"/>
        <color theme="1"/>
      </rPr>
      <t xml:space="preserve">To edit this Sheet, you need to make a copy. This protects your privacy and data, too. </t>
    </r>
    <r>
      <rPr>
        <rFont val="Arial"/>
        <b/>
        <color theme="1"/>
      </rPr>
      <t>Click File, then Make a copy.</t>
    </r>
    <r>
      <rPr>
        <rFont val="Arial"/>
        <color theme="1"/>
      </rPr>
      <t xml:space="preserve"> </t>
    </r>
  </si>
  <si>
    <r>
      <rPr>
        <rFont val="Arial"/>
        <color theme="1"/>
      </rPr>
      <t xml:space="preserve">This will copy the Sheet into your Google account so you can edit it freely and securely. </t>
    </r>
    <r>
      <rPr>
        <rFont val="Arial"/>
        <b/>
        <color theme="1"/>
      </rPr>
      <t>Do this NOW then continue reading</t>
    </r>
  </si>
  <si>
    <t>2.</t>
  </si>
  <si>
    <t xml:space="preserve">Once you have made a copy of this document, you will click the Dashboard tab at the bottom of this page. This will take you to the </t>
  </si>
  <si>
    <t>Airbnb Investment Calculator</t>
  </si>
  <si>
    <t>3.</t>
  </si>
  <si>
    <r>
      <rPr>
        <rFont val="Arial"/>
        <color rgb="FF000000"/>
      </rPr>
      <t>You will only want to edit numbers and text that are</t>
    </r>
    <r>
      <rPr>
        <rFont val="Arial"/>
        <color rgb="FF4A86E8"/>
      </rPr>
      <t xml:space="preserve"> labeled blue like this,</t>
    </r>
    <r>
      <rPr>
        <rFont val="Arial"/>
        <color rgb="FF000000"/>
      </rPr>
      <t xml:space="preserve"> everything else will populate after you</t>
    </r>
    <r>
      <rPr>
        <rFont val="Arial"/>
        <color rgb="FF4A86E8"/>
      </rPr>
      <t xml:space="preserve"> edit only the blue</t>
    </r>
  </si>
  <si>
    <t>4.</t>
  </si>
  <si>
    <r>
      <rPr>
        <rFont val="Arial"/>
        <color theme="1"/>
      </rPr>
      <t>You will start in the "</t>
    </r>
    <r>
      <rPr>
        <rFont val="Arial"/>
        <b/>
        <color theme="1"/>
      </rPr>
      <t>Property Information"</t>
    </r>
    <r>
      <rPr>
        <rFont val="Arial"/>
        <color theme="1"/>
      </rPr>
      <t xml:space="preserve"> section and add your property address, year, square footage, subdivsion, and any notes on the property. </t>
    </r>
  </si>
  <si>
    <t>5.</t>
  </si>
  <si>
    <r>
      <rPr>
        <rFont val="Arial"/>
        <color theme="1"/>
      </rPr>
      <t>Next you will move to the "</t>
    </r>
    <r>
      <rPr>
        <rFont val="Arial"/>
        <b/>
        <color theme="1"/>
      </rPr>
      <t>Purchase"</t>
    </r>
    <r>
      <rPr>
        <rFont val="Arial"/>
        <color theme="1"/>
      </rPr>
      <t xml:space="preserve"> section to input the information for the purchase of the home: asking price, down payment percentage,</t>
    </r>
  </si>
  <si>
    <t>closing cost, renovation cost, etc</t>
  </si>
  <si>
    <t>6.</t>
  </si>
  <si>
    <r>
      <rPr>
        <rFont val="Arial"/>
        <color theme="1"/>
      </rPr>
      <t>Next move over to the "</t>
    </r>
    <r>
      <rPr>
        <rFont val="Arial"/>
        <b/>
        <color theme="1"/>
      </rPr>
      <t>Expenses</t>
    </r>
    <r>
      <rPr>
        <rFont val="Arial"/>
        <color theme="1"/>
      </rPr>
      <t>" section to input your expenses assosicated with the property</t>
    </r>
  </si>
  <si>
    <t>7.</t>
  </si>
  <si>
    <r>
      <rPr>
        <rFont val="Arial"/>
        <color theme="1"/>
      </rPr>
      <t>Next you will move over to "</t>
    </r>
    <r>
      <rPr>
        <rFont val="Arial"/>
        <b/>
        <color theme="1"/>
      </rPr>
      <t>Income"</t>
    </r>
    <r>
      <rPr>
        <rFont val="Arial"/>
        <color theme="1"/>
      </rPr>
      <t xml:space="preserve"> section and input your average nightly rate, average occupancy rate, and cleaning fee; the rest </t>
    </r>
  </si>
  <si>
    <t>of the info will populate</t>
  </si>
  <si>
    <t>8.</t>
  </si>
  <si>
    <t>After you input and edit all the numbers that are labeled blue, the calculator will calculate your expenses and cash flow for this propety</t>
  </si>
  <si>
    <t>9.</t>
  </si>
  <si>
    <t xml:space="preserve">Next click the 5 Year Projected tab and the calculator will show you your projected 5 year return on the property, whether that's just cash flow </t>
  </si>
  <si>
    <t>or whether you decide to sell the property.</t>
  </si>
  <si>
    <t>10</t>
  </si>
  <si>
    <t xml:space="preserve">View Images below for a visual explaination of Steps 1-8 </t>
  </si>
  <si>
    <t>Visual Examplanation:</t>
  </si>
  <si>
    <t>1. -  2.</t>
  </si>
  <si>
    <t>3. -  4.</t>
  </si>
  <si>
    <t>7. -  8.</t>
  </si>
  <si>
    <t>Use Airbnb Calculator to get the occupancy rate and daily rate data</t>
  </si>
  <si>
    <t>Property Information</t>
  </si>
  <si>
    <t>Purchase</t>
  </si>
  <si>
    <t>Expenses</t>
  </si>
  <si>
    <t>Address:</t>
  </si>
  <si>
    <t>Sandhill Road</t>
  </si>
  <si>
    <t>Mortgage Amount:</t>
  </si>
  <si>
    <t>City:</t>
  </si>
  <si>
    <t>Menlo Park</t>
  </si>
  <si>
    <t>Offer Price:</t>
  </si>
  <si>
    <t>Term: (Years)</t>
  </si>
  <si>
    <t>State:</t>
  </si>
  <si>
    <t>CA</t>
  </si>
  <si>
    <t>Down Payment (%):</t>
  </si>
  <si>
    <t># of Payments:</t>
  </si>
  <si>
    <t>Zip Code:</t>
  </si>
  <si>
    <t>Down Payment ($):</t>
  </si>
  <si>
    <t>Interest Rate (%):</t>
  </si>
  <si>
    <t>Bedroom:</t>
  </si>
  <si>
    <t>Estimated Closing Cost (%):</t>
  </si>
  <si>
    <t>Monthly Principle/Interest:</t>
  </si>
  <si>
    <t>Bath:</t>
  </si>
  <si>
    <t>Estimated Closing Cost ($):</t>
  </si>
  <si>
    <t>Estimated Property Tax (Yr):</t>
  </si>
  <si>
    <t>Square Feet:</t>
  </si>
  <si>
    <t>Renovation Cost:</t>
  </si>
  <si>
    <t>Estimated Property Tax (Mo):</t>
  </si>
  <si>
    <t>Subdivision:</t>
  </si>
  <si>
    <t>Winter Garden</t>
  </si>
  <si>
    <t>Setup Cost:</t>
  </si>
  <si>
    <t>Estimated Insurance: (Yr)</t>
  </si>
  <si>
    <t>Year Built:</t>
  </si>
  <si>
    <t>Total Investment:</t>
  </si>
  <si>
    <t>Estimated Insurance: (Mo)</t>
  </si>
  <si>
    <t>Other Info:</t>
  </si>
  <si>
    <t>Pool</t>
  </si>
  <si>
    <t>Private Mortgage Insurance (Yr):</t>
  </si>
  <si>
    <t>Private Mortgage Insurance (Mo):</t>
  </si>
  <si>
    <t>Income</t>
  </si>
  <si>
    <t>Monthly HOA:</t>
  </si>
  <si>
    <t xml:space="preserve">Notes: </t>
  </si>
  <si>
    <t>Gross Income (Yr):</t>
  </si>
  <si>
    <t>Estimated Monthly Utilites: (Water/Elec/Gas)</t>
  </si>
  <si>
    <t>Gross Income (Mo):</t>
  </si>
  <si>
    <t>AirBNB Fee (Yr): 3%</t>
  </si>
  <si>
    <t>Average Nightly Rate:</t>
  </si>
  <si>
    <t>AirBNB Fee (Mo): 3%</t>
  </si>
  <si>
    <t>Average Occupancy:</t>
  </si>
  <si>
    <t>Cleaning Fee (Mo):</t>
  </si>
  <si>
    <t>Cable/Internet (Mo):</t>
  </si>
  <si>
    <t>Net Operating Income:</t>
  </si>
  <si>
    <t>Repairs/Maintenance (Mo) (%)</t>
  </si>
  <si>
    <t>Cap Rate:</t>
  </si>
  <si>
    <t>Repairs/Maintenance (Mo) ($)</t>
  </si>
  <si>
    <t>Cash on Cash Return:</t>
  </si>
  <si>
    <t>Management Fee (Mo) (%)</t>
  </si>
  <si>
    <t>Management Fee (Mo) ($)</t>
  </si>
  <si>
    <t>Cash Flow (Annual):</t>
  </si>
  <si>
    <t>Cash Flow (Monthly):</t>
  </si>
  <si>
    <t>Operating Expenses: (Annual)</t>
  </si>
  <si>
    <t>Operating Expenses: (Monthly)</t>
  </si>
  <si>
    <t>Total Expenses: (Annual)</t>
  </si>
  <si>
    <t>Total Expenses: (Monthly)</t>
  </si>
  <si>
    <t>Projected Year 1:</t>
  </si>
  <si>
    <t>Projected Year 2:</t>
  </si>
  <si>
    <t>Projected Year 3:</t>
  </si>
  <si>
    <t>Projected Year 4:</t>
  </si>
  <si>
    <t>Projected Year 5:</t>
  </si>
  <si>
    <t>Annual Increase in Gross Income: (%)</t>
  </si>
  <si>
    <t>Annual Increase in Operating Expenses: (%)</t>
  </si>
  <si>
    <t>Annual Appreciation: (%)</t>
  </si>
  <si>
    <t>5 Year Totals</t>
  </si>
  <si>
    <t>Annual Gross Rental Income:</t>
  </si>
  <si>
    <t>Total Annual Gross Income:</t>
  </si>
  <si>
    <t xml:space="preserve">Annual Operating Expenses: </t>
  </si>
  <si>
    <t>Total Operating Expenses:</t>
  </si>
  <si>
    <t>Mortage Debt:</t>
  </si>
  <si>
    <t>Total Mortgage Payments:</t>
  </si>
  <si>
    <t xml:space="preserve">Cash Flow: </t>
  </si>
  <si>
    <t>Total Cash Flow:</t>
  </si>
  <si>
    <t>Monthly Cash Flow:</t>
  </si>
  <si>
    <t>Average Monthly Cash Flow:</t>
  </si>
  <si>
    <t>Cash on Cash Return from Initial Investment:</t>
  </si>
  <si>
    <t>Property Value:</t>
  </si>
  <si>
    <t>Increase in Value</t>
  </si>
  <si>
    <t>Amount Owed:</t>
  </si>
  <si>
    <t>Mortgage Paydown</t>
  </si>
  <si>
    <t>Equity:</t>
  </si>
  <si>
    <t>Appreciation + Cash flow:</t>
  </si>
  <si>
    <t>Return on Initial Investment:</t>
  </si>
  <si>
    <t>Net Proceeds after Sale: (3% Agent Commision)</t>
  </si>
  <si>
    <t>Mortgage Breakdown:</t>
  </si>
  <si>
    <t>Interest (Monthly)</t>
  </si>
  <si>
    <t>Monthly Payment:</t>
  </si>
  <si>
    <t>Interest:</t>
  </si>
  <si>
    <t>Principal Paydown: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</si>
</sst>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&quot;$&quot;#,##0"/>
    <numFmt numFmtId="165" formatCode="&quot;$&quot;#,##0.00"/>
    <numFmt numFmtId="166" formatCode="0.0%"/>
  </numFmts>
  <fonts count="36">
    <font>
      <sz val="10.0"/>
      <color rgb="FF000000"/>
      <name val="Arial"/>
      <scheme val="minor"/>
    </font>
    <font>
      <color theme="1"/>
      <name val="Arial"/>
    </font>
    <font>
      <u/>
      <sz val="12.0"/>
      <color rgb="FF1155CC"/>
      <name val="Arial"/>
    </font>
    <font>
      <u/>
      <sz val="12.0"/>
      <color rgb="FF1155CC"/>
      <name val="Arial"/>
    </font>
    <font>
      <u/>
      <color rgb="FFF3D185"/>
      <name val="Arial"/>
    </font>
    <font>
      <i/>
      <sz val="8.0"/>
      <color theme="1"/>
      <name val="Arial"/>
    </font>
    <font>
      <b/>
      <color theme="1"/>
      <name val="Montserrat"/>
    </font>
    <font>
      <color theme="1"/>
      <name val="Arial"/>
      <scheme val="minor"/>
    </font>
    <font>
      <b/>
      <color theme="1"/>
      <name val="Arial"/>
    </font>
    <font>
      <color rgb="FF3E5656"/>
      <name val="Arial"/>
    </font>
    <font>
      <sz val="10.0"/>
      <color rgb="FF000000"/>
      <name val="Arial"/>
    </font>
    <font>
      <sz val="10.0"/>
      <color theme="1"/>
      <name val="Arial"/>
    </font>
    <font>
      <b/>
      <color rgb="FF000000"/>
      <name val="Montserrat"/>
    </font>
    <font>
      <b/>
      <sz val="14.0"/>
      <color theme="1"/>
      <name val="Arial"/>
    </font>
    <font>
      <b/>
      <u/>
      <sz val="25.0"/>
      <color rgb="FF0000FF"/>
    </font>
    <font>
      <sz val="9.0"/>
      <color rgb="FF000000"/>
      <name val="Montserrat"/>
    </font>
    <font>
      <b/>
      <sz val="14.0"/>
      <color theme="1"/>
      <name val="Montserrat"/>
    </font>
    <font>
      <b/>
      <color rgb="FF4A86E8"/>
      <name val="Arial"/>
      <scheme val="minor"/>
    </font>
    <font>
      <sz val="10.0"/>
      <color rgb="FF000000"/>
      <name val="Montserrat"/>
    </font>
    <font>
      <b/>
      <color rgb="FF4A86E8"/>
      <name val="Montserrat"/>
    </font>
    <font>
      <b/>
      <color theme="1"/>
      <name val="Arial"/>
      <scheme val="minor"/>
    </font>
    <font>
      <b/>
      <sz val="11.0"/>
      <color theme="1"/>
      <name val="Montserrat"/>
    </font>
    <font/>
    <font>
      <b/>
      <sz val="11.0"/>
      <color rgb="FF000000"/>
      <name val="Montserrat"/>
    </font>
    <font>
      <b/>
      <sz val="36.0"/>
      <color rgb="FF000000"/>
      <name val="Montserrat"/>
    </font>
    <font>
      <b/>
      <sz val="14.0"/>
      <color rgb="FF000000"/>
      <name val="Montserrat"/>
    </font>
    <font>
      <sz val="14.0"/>
      <color rgb="FF000000"/>
      <name val="Montserrat"/>
    </font>
    <font>
      <b/>
      <sz val="8.0"/>
      <color rgb="FF000000"/>
      <name val="Montserrat"/>
    </font>
    <font>
      <sz val="8.0"/>
      <color rgb="FF000000"/>
      <name val="Arial"/>
    </font>
    <font>
      <b/>
      <sz val="12.0"/>
      <color rgb="FFFFFFFF"/>
      <name val="Montserrat"/>
    </font>
    <font>
      <b/>
      <sz val="9.0"/>
      <color rgb="FF000000"/>
      <name val="Montserrat"/>
    </font>
    <font>
      <b/>
      <sz val="18.0"/>
      <color rgb="FFFFFFFF"/>
      <name val="Montserrat"/>
    </font>
    <font>
      <b/>
      <sz val="10.0"/>
      <color rgb="FF000000"/>
      <name val="Montserrat"/>
    </font>
    <font>
      <b/>
      <sz val="18.0"/>
      <color theme="1"/>
      <name val="Montserrat"/>
    </font>
    <font>
      <b/>
      <sz val="18.0"/>
      <color theme="1"/>
      <name val="Arial"/>
      <scheme val="minor"/>
    </font>
    <font>
      <b/>
      <sz val="10.0"/>
      <color theme="1"/>
      <name val="Montserrat"/>
    </font>
  </fonts>
  <fills count="14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rgb="FF46BDC6"/>
        <bgColor rgb="FF46BDC6"/>
      </patternFill>
    </fill>
    <fill>
      <patternFill patternType="solid">
        <fgColor rgb="FFB7B7B7"/>
        <bgColor rgb="FFB7B7B7"/>
      </patternFill>
    </fill>
    <fill>
      <patternFill patternType="solid">
        <fgColor rgb="FFFEE186"/>
        <bgColor rgb="FFFEE186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FD966"/>
        <bgColor rgb="FFFFD966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000000"/>
        <bgColor rgb="FF000000"/>
      </patternFill>
    </fill>
  </fills>
  <borders count="15">
    <border/>
    <border>
      <left style="hair">
        <color rgb="FF000000"/>
      </lef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</border>
    <border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Alignment="1" applyFont="1">
      <alignment horizontal="right" vertical="bottom"/>
    </xf>
    <xf borderId="0" fillId="0" fontId="3" numFmtId="0" xfId="0" applyAlignment="1" applyFont="1">
      <alignment horizontal="right" readingOrder="0" vertical="bottom"/>
    </xf>
    <xf borderId="0" fillId="0" fontId="4" numFmtId="0" xfId="0" applyAlignment="1" applyFont="1">
      <alignment horizontal="right" vertical="bottom"/>
    </xf>
    <xf borderId="0" fillId="0" fontId="5" numFmtId="0" xfId="0" applyAlignment="1" applyFont="1">
      <alignment horizontal="right" vertical="bottom"/>
    </xf>
    <xf borderId="0" fillId="0" fontId="6" numFmtId="0" xfId="0" applyAlignment="1" applyFont="1">
      <alignment vertical="bottom"/>
    </xf>
    <xf borderId="0" fillId="2" fontId="1" numFmtId="49" xfId="0" applyAlignment="1" applyFill="1" applyFont="1" applyNumberFormat="1">
      <alignment vertical="bottom"/>
    </xf>
    <xf borderId="0" fillId="2" fontId="1" numFmtId="0" xfId="0" applyAlignment="1" applyFont="1">
      <alignment vertical="bottom"/>
    </xf>
    <xf borderId="0" fillId="2" fontId="7" numFmtId="0" xfId="0" applyFont="1"/>
    <xf borderId="0" fillId="3" fontId="7" numFmtId="0" xfId="0" applyFill="1" applyFont="1"/>
    <xf borderId="0" fillId="2" fontId="8" numFmtId="49" xfId="0" applyAlignment="1" applyFont="1" applyNumberFormat="1">
      <alignment horizontal="right" vertical="bottom"/>
    </xf>
    <xf borderId="0" fillId="2" fontId="1" numFmtId="0" xfId="0" applyAlignment="1" applyFont="1">
      <alignment shrinkToFit="0" vertical="bottom" wrapText="0"/>
    </xf>
    <xf borderId="0" fillId="2" fontId="1" numFmtId="0" xfId="0" applyAlignment="1" applyFont="1">
      <alignment readingOrder="0" shrinkToFit="0" vertical="bottom" wrapText="0"/>
    </xf>
    <xf borderId="0" fillId="2" fontId="9" numFmtId="0" xfId="0" applyAlignment="1" applyFont="1">
      <alignment readingOrder="0" shrinkToFit="0" vertical="bottom" wrapText="0"/>
    </xf>
    <xf borderId="0" fillId="2" fontId="10" numFmtId="0" xfId="0" applyAlignment="1" applyFont="1">
      <alignment readingOrder="0"/>
    </xf>
    <xf borderId="0" fillId="2" fontId="11" numFmtId="0" xfId="0" applyAlignment="1" applyFont="1">
      <alignment vertical="bottom"/>
    </xf>
    <xf borderId="0" fillId="2" fontId="1" numFmtId="0" xfId="0" applyAlignment="1" applyFont="1">
      <alignment readingOrder="0" vertical="bottom"/>
    </xf>
    <xf borderId="0" fillId="2" fontId="8" numFmtId="49" xfId="0" applyAlignment="1" applyFont="1" applyNumberFormat="1">
      <alignment horizontal="right" readingOrder="0" vertical="bottom"/>
    </xf>
    <xf borderId="0" fillId="0" fontId="12" numFmtId="0" xfId="0" applyAlignment="1" applyFont="1">
      <alignment readingOrder="0" shrinkToFit="0" vertical="bottom" wrapText="1"/>
    </xf>
    <xf borderId="0" fillId="3" fontId="1" numFmtId="0" xfId="0" applyAlignment="1" applyFont="1">
      <alignment vertical="bottom"/>
    </xf>
    <xf borderId="0" fillId="3" fontId="1" numFmtId="0" xfId="0" applyAlignment="1" applyFont="1">
      <alignment readingOrder="0" shrinkToFit="0" vertical="bottom" wrapText="1"/>
    </xf>
    <xf borderId="0" fillId="0" fontId="6" numFmtId="0" xfId="0" applyAlignment="1" applyFont="1">
      <alignment readingOrder="0" vertical="bottom"/>
    </xf>
    <xf borderId="0" fillId="3" fontId="13" numFmtId="49" xfId="0" applyAlignment="1" applyFont="1" applyNumberFormat="1">
      <alignment horizontal="right" readingOrder="0" vertical="bottom"/>
    </xf>
    <xf borderId="0" fillId="0" fontId="14" numFmtId="0" xfId="0" applyAlignment="1" applyFont="1">
      <alignment readingOrder="0"/>
    </xf>
    <xf borderId="0" fillId="0" fontId="7" numFmtId="0" xfId="0" applyFont="1"/>
    <xf borderId="0" fillId="3" fontId="15" numFmtId="0" xfId="0" applyAlignment="1" applyFont="1">
      <alignment readingOrder="0" vertical="bottom"/>
    </xf>
    <xf borderId="0" fillId="0" fontId="16" numFmtId="0" xfId="0" applyAlignment="1" applyFont="1">
      <alignment horizontal="center" readingOrder="0"/>
    </xf>
    <xf borderId="0" fillId="0" fontId="17" numFmtId="0" xfId="0" applyAlignment="1" applyFont="1">
      <alignment horizontal="right" readingOrder="0"/>
    </xf>
    <xf borderId="0" fillId="3" fontId="18" numFmtId="0" xfId="0" applyAlignment="1" applyFont="1">
      <alignment readingOrder="0" vertical="bottom"/>
    </xf>
    <xf borderId="0" fillId="0" fontId="19" numFmtId="164" xfId="0" applyAlignment="1" applyFont="1" applyNumberFormat="1">
      <alignment horizontal="right" readingOrder="0" vertical="bottom"/>
    </xf>
    <xf borderId="0" fillId="0" fontId="17" numFmtId="0" xfId="0" applyAlignment="1" applyFont="1">
      <alignment readingOrder="0"/>
    </xf>
    <xf borderId="0" fillId="0" fontId="19" numFmtId="9" xfId="0" applyAlignment="1" applyFont="1" applyNumberFormat="1">
      <alignment horizontal="right" readingOrder="0" vertical="bottom"/>
    </xf>
    <xf borderId="0" fillId="0" fontId="20" numFmtId="0" xfId="0" applyFont="1"/>
    <xf borderId="0" fillId="0" fontId="20" numFmtId="164" xfId="0" applyFont="1" applyNumberFormat="1"/>
    <xf borderId="0" fillId="0" fontId="19" numFmtId="10" xfId="0" applyAlignment="1" applyFont="1" applyNumberFormat="1">
      <alignment horizontal="right" readingOrder="0" vertical="bottom"/>
    </xf>
    <xf borderId="0" fillId="0" fontId="6" numFmtId="165" xfId="0" applyFont="1" applyNumberFormat="1"/>
    <xf borderId="0" fillId="0" fontId="12" numFmtId="164" xfId="0" applyAlignment="1" applyFont="1" applyNumberFormat="1">
      <alignment horizontal="right" readingOrder="0" vertical="bottom"/>
    </xf>
    <xf borderId="0" fillId="0" fontId="6" numFmtId="164" xfId="0" applyFont="1" applyNumberFormat="1"/>
    <xf borderId="0" fillId="3" fontId="15" numFmtId="0" xfId="0" applyAlignment="1" applyFont="1">
      <alignment readingOrder="0" vertical="center"/>
    </xf>
    <xf borderId="1" fillId="0" fontId="21" numFmtId="0" xfId="0" applyAlignment="1" applyBorder="1" applyFont="1">
      <alignment horizontal="left" readingOrder="0" shrinkToFit="0" vertical="top" wrapText="1"/>
    </xf>
    <xf borderId="2" fillId="0" fontId="22" numFmtId="0" xfId="0" applyBorder="1" applyFont="1"/>
    <xf borderId="3" fillId="0" fontId="22" numFmtId="0" xfId="0" applyBorder="1" applyFont="1"/>
    <xf borderId="4" fillId="0" fontId="22" numFmtId="0" xfId="0" applyBorder="1" applyFont="1"/>
    <xf borderId="0" fillId="0" fontId="6" numFmtId="10" xfId="0" applyFont="1" applyNumberFormat="1"/>
    <xf borderId="0" fillId="0" fontId="12" numFmtId="164" xfId="0" applyFont="1" applyNumberFormat="1"/>
    <xf borderId="0" fillId="3" fontId="23" numFmtId="10" xfId="0" applyFont="1" applyNumberFormat="1"/>
    <xf borderId="0" fillId="3" fontId="24" numFmtId="0" xfId="0" applyFont="1"/>
    <xf borderId="0" fillId="3" fontId="24" numFmtId="0" xfId="0" applyFont="1"/>
    <xf borderId="0" fillId="3" fontId="24" numFmtId="164" xfId="0" applyAlignment="1" applyFont="1" applyNumberFormat="1">
      <alignment horizontal="center"/>
    </xf>
    <xf borderId="5" fillId="0" fontId="22" numFmtId="0" xfId="0" applyBorder="1" applyFont="1"/>
    <xf borderId="6" fillId="0" fontId="22" numFmtId="0" xfId="0" applyBorder="1" applyFont="1"/>
    <xf borderId="0" fillId="3" fontId="25" numFmtId="0" xfId="0" applyAlignment="1" applyFont="1">
      <alignment horizontal="center" readingOrder="0" vertical="bottom"/>
    </xf>
    <xf borderId="0" fillId="0" fontId="16" numFmtId="164" xfId="0" applyAlignment="1" applyFont="1" applyNumberFormat="1">
      <alignment horizontal="right"/>
    </xf>
    <xf borderId="0" fillId="0" fontId="6" numFmtId="0" xfId="0" applyFont="1"/>
    <xf borderId="0" fillId="3" fontId="18" numFmtId="0" xfId="0" applyAlignment="1" applyFont="1">
      <alignment horizontal="right" readingOrder="0" vertical="bottom"/>
    </xf>
    <xf borderId="0" fillId="3" fontId="25" numFmtId="164" xfId="0" applyAlignment="1" applyFont="1" applyNumberFormat="1">
      <alignment horizontal="right"/>
    </xf>
    <xf borderId="0" fillId="3" fontId="24" numFmtId="10" xfId="0" applyFont="1" applyNumberFormat="1"/>
    <xf borderId="0" fillId="3" fontId="26" numFmtId="0" xfId="0" applyAlignment="1" applyFont="1">
      <alignment readingOrder="0" vertical="bottom"/>
    </xf>
    <xf borderId="0" fillId="0" fontId="27" numFmtId="0" xfId="0" applyAlignment="1" applyFont="1">
      <alignment readingOrder="0" shrinkToFit="0" vertical="bottom" wrapText="1"/>
    </xf>
    <xf borderId="0" fillId="3" fontId="28" numFmtId="0" xfId="0" applyAlignment="1" applyFont="1">
      <alignment horizontal="left" readingOrder="0" shrinkToFit="0" wrapText="1"/>
    </xf>
    <xf borderId="0" fillId="4" fontId="7" numFmtId="0" xfId="0" applyFill="1" applyFont="1"/>
    <xf borderId="0" fillId="4" fontId="7" numFmtId="0" xfId="0" applyAlignment="1" applyFont="1">
      <alignment readingOrder="0"/>
    </xf>
    <xf borderId="0" fillId="5" fontId="1" numFmtId="0" xfId="0" applyAlignment="1" applyFill="1" applyFont="1">
      <alignment vertical="bottom"/>
    </xf>
    <xf borderId="0" fillId="5" fontId="1" numFmtId="0" xfId="0" applyAlignment="1" applyFont="1">
      <alignment vertical="bottom"/>
    </xf>
    <xf borderId="0" fillId="4" fontId="29" numFmtId="0" xfId="0" applyAlignment="1" applyFont="1">
      <alignment horizontal="center" readingOrder="0"/>
    </xf>
    <xf borderId="7" fillId="3" fontId="30" numFmtId="0" xfId="0" applyAlignment="1" applyBorder="1" applyFont="1">
      <alignment readingOrder="0" vertical="bottom"/>
    </xf>
    <xf borderId="8" fillId="0" fontId="22" numFmtId="0" xfId="0" applyBorder="1" applyFont="1"/>
    <xf borderId="9" fillId="6" fontId="7" numFmtId="0" xfId="0" applyBorder="1" applyFill="1" applyFont="1"/>
    <xf borderId="8" fillId="7" fontId="30" numFmtId="10" xfId="0" applyAlignment="1" applyBorder="1" applyFill="1" applyFont="1" applyNumberFormat="1">
      <alignment readingOrder="0" vertical="bottom"/>
    </xf>
    <xf borderId="10" fillId="7" fontId="30" numFmtId="10" xfId="0" applyAlignment="1" applyBorder="1" applyFont="1" applyNumberFormat="1">
      <alignment readingOrder="0" vertical="bottom"/>
    </xf>
    <xf borderId="7" fillId="0" fontId="30" numFmtId="0" xfId="0" applyAlignment="1" applyBorder="1" applyFont="1">
      <alignment readingOrder="0"/>
    </xf>
    <xf borderId="11" fillId="6" fontId="7" numFmtId="0" xfId="0" applyBorder="1" applyFont="1"/>
    <xf borderId="12" fillId="6" fontId="7" numFmtId="0" xfId="0" applyBorder="1" applyFont="1"/>
    <xf borderId="0" fillId="4" fontId="20" numFmtId="0" xfId="0" applyFont="1"/>
    <xf borderId="13" fillId="4" fontId="31" numFmtId="0" xfId="0" applyAlignment="1" applyBorder="1" applyFont="1">
      <alignment horizontal="center" readingOrder="0" vertical="bottom"/>
    </xf>
    <xf borderId="13" fillId="0" fontId="22" numFmtId="0" xfId="0" applyBorder="1" applyFont="1"/>
    <xf borderId="10" fillId="2" fontId="6" numFmtId="164" xfId="0" applyBorder="1" applyFont="1" applyNumberFormat="1"/>
    <xf borderId="12" fillId="3" fontId="32" numFmtId="0" xfId="0" applyAlignment="1" applyBorder="1" applyFont="1">
      <alignment readingOrder="0" vertical="center"/>
    </xf>
    <xf borderId="12" fillId="0" fontId="33" numFmtId="164" xfId="0" applyAlignment="1" applyBorder="1" applyFont="1" applyNumberFormat="1">
      <alignment horizontal="right" vertical="bottom"/>
    </xf>
    <xf borderId="10" fillId="0" fontId="32" numFmtId="0" xfId="0" applyAlignment="1" applyBorder="1" applyFont="1">
      <alignment readingOrder="0" vertical="center"/>
    </xf>
    <xf borderId="10" fillId="0" fontId="34" numFmtId="164" xfId="0" applyBorder="1" applyFont="1" applyNumberFormat="1"/>
    <xf borderId="10" fillId="0" fontId="6" numFmtId="0" xfId="0" applyAlignment="1" applyBorder="1" applyFont="1">
      <alignment horizontal="left" readingOrder="0" vertical="center"/>
    </xf>
    <xf borderId="10" fillId="0" fontId="32" numFmtId="0" xfId="0" applyAlignment="1" applyBorder="1" applyFont="1">
      <alignment horizontal="left" readingOrder="0" vertical="center"/>
    </xf>
    <xf borderId="9" fillId="0" fontId="35" numFmtId="0" xfId="0" applyAlignment="1" applyBorder="1" applyFont="1">
      <alignment horizontal="left" readingOrder="0" vertical="center"/>
    </xf>
    <xf borderId="9" fillId="0" fontId="34" numFmtId="164" xfId="0" applyBorder="1" applyFont="1" applyNumberFormat="1"/>
    <xf borderId="10" fillId="2" fontId="6" numFmtId="166" xfId="0" applyBorder="1" applyFont="1" applyNumberFormat="1"/>
    <xf borderId="14" fillId="4" fontId="35" numFmtId="0" xfId="0" applyAlignment="1" applyBorder="1" applyFont="1">
      <alignment horizontal="left" vertical="center"/>
    </xf>
    <xf borderId="14" fillId="4" fontId="34" numFmtId="0" xfId="0" applyBorder="1" applyFont="1"/>
    <xf borderId="10" fillId="8" fontId="6" numFmtId="164" xfId="0" applyBorder="1" applyFill="1" applyFont="1" applyNumberFormat="1"/>
    <xf borderId="10" fillId="9" fontId="6" numFmtId="164" xfId="0" applyBorder="1" applyFill="1" applyFont="1" applyNumberFormat="1"/>
    <xf borderId="10" fillId="10" fontId="6" numFmtId="164" xfId="0" applyBorder="1" applyFill="1" applyFont="1" applyNumberFormat="1"/>
    <xf borderId="12" fillId="0" fontId="35" numFmtId="0" xfId="0" applyAlignment="1" applyBorder="1" applyFont="1">
      <alignment horizontal="left" readingOrder="0" vertical="center"/>
    </xf>
    <xf borderId="12" fillId="0" fontId="34" numFmtId="164" xfId="0" applyBorder="1" applyFont="1" applyNumberFormat="1"/>
    <xf borderId="10" fillId="11" fontId="6" numFmtId="164" xfId="0" applyBorder="1" applyFill="1" applyFont="1" applyNumberFormat="1"/>
    <xf borderId="10" fillId="12" fontId="6" numFmtId="164" xfId="0" applyBorder="1" applyFill="1" applyFont="1" applyNumberFormat="1"/>
    <xf borderId="10" fillId="0" fontId="35" numFmtId="0" xfId="0" applyAlignment="1" applyBorder="1" applyFont="1">
      <alignment horizontal="left" readingOrder="0" vertical="center"/>
    </xf>
    <xf borderId="10" fillId="0" fontId="34" numFmtId="9" xfId="0" applyBorder="1" applyFont="1" applyNumberFormat="1"/>
    <xf borderId="10" fillId="0" fontId="32" numFmtId="0" xfId="0" applyAlignment="1" applyBorder="1" applyFont="1">
      <alignment horizontal="left" readingOrder="0" shrinkToFit="0" vertical="center" wrapText="1"/>
    </xf>
    <xf borderId="0" fillId="13" fontId="6" numFmtId="0" xfId="0" applyFill="1" applyFont="1"/>
    <xf borderId="0" fillId="13" fontId="7" numFmtId="0" xfId="0" applyFont="1"/>
    <xf borderId="7" fillId="4" fontId="29" numFmtId="0" xfId="0" applyAlignment="1" applyBorder="1" applyFont="1">
      <alignment horizontal="left" readingOrder="0" vertical="bottom"/>
    </xf>
    <xf borderId="14" fillId="0" fontId="22" numFmtId="0" xfId="0" applyBorder="1" applyFont="1"/>
    <xf borderId="10" fillId="3" fontId="30" numFmtId="0" xfId="0" applyAlignment="1" applyBorder="1" applyFont="1">
      <alignment horizontal="left" readingOrder="0" vertical="bottom"/>
    </xf>
    <xf borderId="10" fillId="0" fontId="6" numFmtId="164" xfId="0" applyBorder="1" applyFont="1" applyNumberFormat="1"/>
    <xf borderId="10" fillId="0" fontId="30" numFmtId="0" xfId="0" applyAlignment="1" applyBorder="1" applyFont="1">
      <alignment horizontal="left" readingOrder="0"/>
    </xf>
    <xf borderId="10" fillId="0" fontId="6" numFmtId="10" xfId="0" applyBorder="1" applyFont="1" applyNumberFormat="1"/>
    <xf borderId="10" fillId="0" fontId="6" numFmtId="165" xfId="0" applyBorder="1" applyFont="1" applyNumberFormat="1"/>
  </cellXfs>
  <cellStyles count="1">
    <cellStyle xfId="0" name="Normal" builtinId="0"/>
  </cellStyles>
  <dxfs count="6">
    <dxf>
      <font>
        <color rgb="FF38761D"/>
      </font>
      <fill>
        <patternFill patternType="solid">
          <fgColor theme="0"/>
          <bgColor theme="0"/>
        </patternFill>
      </fill>
      <border/>
    </dxf>
    <dxf>
      <font>
        <color rgb="FF93C47D"/>
      </font>
      <fill>
        <patternFill patternType="solid">
          <fgColor theme="0"/>
          <bgColor theme="0"/>
        </patternFill>
      </fill>
      <border/>
    </dxf>
    <dxf>
      <font>
        <color rgb="FF990000"/>
      </font>
      <fill>
        <patternFill patternType="solid">
          <fgColor theme="0"/>
          <bgColor theme="0"/>
        </patternFill>
      </fill>
      <border/>
    </dxf>
    <dxf>
      <font>
        <color rgb="FFE06666"/>
      </font>
      <fill>
        <patternFill patternType="solid">
          <fgColor theme="0"/>
          <bgColor theme="0"/>
        </patternFill>
      </fill>
      <border/>
    </dxf>
    <dxf>
      <font>
        <color rgb="FFCC0000"/>
      </font>
      <fill>
        <patternFill patternType="solid">
          <fgColor theme="0"/>
          <bgColor theme="0"/>
        </patternFill>
      </fill>
      <border/>
    </dxf>
    <dxf>
      <font/>
      <fill>
        <patternFill patternType="solid">
          <fgColor rgb="FFB6D7A8"/>
          <bgColor rgb="FFB6D7A8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9.png"/><Relationship Id="rId3" Type="http://schemas.openxmlformats.org/officeDocument/2006/relationships/image" Target="../media/image6.png"/><Relationship Id="rId4" Type="http://schemas.openxmlformats.org/officeDocument/2006/relationships/image" Target="../media/image8.png"/><Relationship Id="rId5" Type="http://schemas.openxmlformats.org/officeDocument/2006/relationships/image" Target="../media/image7.png"/><Relationship Id="rId6" Type="http://schemas.openxmlformats.org/officeDocument/2006/relationships/image" Target="../media/image3.png"/><Relationship Id="rId7" Type="http://schemas.openxmlformats.org/officeDocument/2006/relationships/image" Target="../media/image4.png"/><Relationship Id="rId8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161925</xdr:colOff>
      <xdr:row>53</xdr:row>
      <xdr:rowOff>47625</xdr:rowOff>
    </xdr:from>
    <xdr:ext cx="5210175" cy="41719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72</xdr:row>
      <xdr:rowOff>190500</xdr:rowOff>
    </xdr:from>
    <xdr:ext cx="5143500" cy="4114800"/>
    <xdr:pic>
      <xdr:nvPicPr>
        <xdr:cNvPr id="0" name="image9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90</xdr:row>
      <xdr:rowOff>104775</xdr:rowOff>
    </xdr:from>
    <xdr:ext cx="5143500" cy="4114800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110</xdr:row>
      <xdr:rowOff>133350</xdr:rowOff>
    </xdr:from>
    <xdr:ext cx="5210175" cy="4114800"/>
    <xdr:pic>
      <xdr:nvPicPr>
        <xdr:cNvPr id="0" name="image8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131</xdr:row>
      <xdr:rowOff>57150</xdr:rowOff>
    </xdr:from>
    <xdr:ext cx="5248275" cy="4229100"/>
    <xdr:pic>
      <xdr:nvPicPr>
        <xdr:cNvPr id="0" name="image7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149</xdr:row>
      <xdr:rowOff>57150</xdr:rowOff>
    </xdr:from>
    <xdr:ext cx="6067425" cy="4848225"/>
    <xdr:pic>
      <xdr:nvPicPr>
        <xdr:cNvPr id="0" name="image3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32</xdr:row>
      <xdr:rowOff>161925</xdr:rowOff>
    </xdr:from>
    <xdr:ext cx="5295900" cy="3705225"/>
    <xdr:pic>
      <xdr:nvPicPr>
        <xdr:cNvPr id="0" name="image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173</xdr:row>
      <xdr:rowOff>552450</xdr:rowOff>
    </xdr:from>
    <xdr:ext cx="7219950" cy="7524750"/>
    <xdr:pic>
      <xdr:nvPicPr>
        <xdr:cNvPr id="0" name="image2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52425" cy="2000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etsy.com/shop/HelloMarketingStudio?ref=profile_header&amp;page=1" TargetMode="External"/><Relationship Id="rId2" Type="http://schemas.openxmlformats.org/officeDocument/2006/relationships/hyperlink" Target="https://app.airbtics.com/airbnb-calculator" TargetMode="External"/><Relationship Id="rId3" Type="http://schemas.openxmlformats.org/officeDocument/2006/relationships/hyperlink" Target="https://www.etsy.com/shop/HelloMarketingStudio?coupon=TST10PERCENTOFF" TargetMode="External"/><Relationship Id="rId4" Type="http://schemas.openxmlformats.org/officeDocument/2006/relationships/hyperlink" Target="https://app.airbtics.com/airbnb-calculator" TargetMode="External"/><Relationship Id="rId5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0.88"/>
    <col customWidth="1" hidden="1" min="13" max="13" width="9.88"/>
    <col hidden="1" min="14" max="26" width="12.63"/>
  </cols>
  <sheetData>
    <row r="2">
      <c r="B2" s="1"/>
      <c r="C2" s="1"/>
      <c r="D2" s="1"/>
      <c r="E2" s="1"/>
      <c r="F2" s="1"/>
      <c r="G2" s="1"/>
      <c r="H2" s="1"/>
      <c r="K2" s="1"/>
      <c r="L2" s="1"/>
      <c r="M2" s="2" t="s">
        <v>0</v>
      </c>
    </row>
    <row r="3">
      <c r="B3" s="1"/>
      <c r="C3" s="1"/>
      <c r="D3" s="1"/>
      <c r="E3" s="1"/>
      <c r="F3" s="1"/>
      <c r="G3" s="1"/>
      <c r="H3" s="2"/>
      <c r="K3" s="3" t="s">
        <v>1</v>
      </c>
      <c r="L3" s="1"/>
      <c r="M3" s="4" t="s">
        <v>2</v>
      </c>
    </row>
    <row r="4">
      <c r="B4" s="1"/>
      <c r="C4" s="1"/>
      <c r="D4" s="1"/>
      <c r="E4" s="1"/>
      <c r="F4" s="1"/>
      <c r="G4" s="1"/>
      <c r="H4" s="4"/>
      <c r="K4" s="4"/>
      <c r="L4" s="1"/>
      <c r="M4" s="5" t="s">
        <v>3</v>
      </c>
    </row>
    <row r="5">
      <c r="B5" s="1"/>
      <c r="C5" s="1"/>
      <c r="D5" s="1"/>
      <c r="E5" s="1"/>
      <c r="F5" s="1"/>
      <c r="G5" s="1"/>
      <c r="H5" s="5"/>
      <c r="K5" s="5"/>
    </row>
    <row r="6">
      <c r="B6" s="1"/>
      <c r="C6" s="1"/>
      <c r="D6" s="1"/>
      <c r="E6" s="1"/>
      <c r="F6" s="1"/>
      <c r="G6" s="1"/>
      <c r="H6" s="1"/>
    </row>
    <row r="7">
      <c r="B7" s="6" t="s">
        <v>4</v>
      </c>
      <c r="D7" s="1"/>
      <c r="E7" s="1"/>
      <c r="F7" s="1"/>
      <c r="G7" s="1"/>
      <c r="H7" s="1"/>
    </row>
    <row r="8">
      <c r="B8" s="7"/>
      <c r="C8" s="8"/>
      <c r="D8" s="8"/>
      <c r="E8" s="8"/>
      <c r="F8" s="8"/>
      <c r="G8" s="8"/>
      <c r="H8" s="8"/>
      <c r="I8" s="9"/>
      <c r="J8" s="9"/>
      <c r="K8" s="9"/>
      <c r="L8" s="10"/>
      <c r="M8" s="10"/>
    </row>
    <row r="9">
      <c r="B9" s="11" t="s">
        <v>5</v>
      </c>
      <c r="C9" s="12" t="s">
        <v>6</v>
      </c>
      <c r="D9" s="8"/>
      <c r="E9" s="8"/>
      <c r="F9" s="8"/>
      <c r="G9" s="8"/>
      <c r="H9" s="8"/>
      <c r="I9" s="9"/>
      <c r="J9" s="9"/>
      <c r="K9" s="9"/>
      <c r="L9" s="10"/>
      <c r="M9" s="10"/>
    </row>
    <row r="10">
      <c r="B10" s="11"/>
      <c r="C10" s="12" t="s">
        <v>7</v>
      </c>
      <c r="D10" s="8"/>
      <c r="E10" s="8"/>
      <c r="F10" s="8"/>
      <c r="G10" s="8"/>
      <c r="H10" s="8"/>
      <c r="I10" s="9"/>
      <c r="J10" s="9"/>
      <c r="K10" s="9"/>
      <c r="L10" s="10"/>
      <c r="M10" s="10"/>
    </row>
    <row r="11">
      <c r="B11" s="11" t="s">
        <v>8</v>
      </c>
      <c r="C11" s="12" t="s">
        <v>9</v>
      </c>
      <c r="D11" s="8"/>
      <c r="E11" s="8"/>
      <c r="F11" s="8"/>
      <c r="G11" s="8"/>
      <c r="H11" s="8"/>
      <c r="I11" s="9"/>
      <c r="J11" s="9"/>
      <c r="K11" s="9"/>
      <c r="L11" s="10"/>
      <c r="M11" s="10"/>
    </row>
    <row r="12">
      <c r="B12" s="11"/>
      <c r="C12" s="13" t="s">
        <v>10</v>
      </c>
      <c r="D12" s="8"/>
      <c r="E12" s="8"/>
      <c r="F12" s="8"/>
      <c r="G12" s="8"/>
      <c r="H12" s="8"/>
      <c r="I12" s="9"/>
      <c r="J12" s="9"/>
      <c r="K12" s="9"/>
      <c r="L12" s="10"/>
      <c r="M12" s="10"/>
    </row>
    <row r="13">
      <c r="B13" s="11" t="s">
        <v>11</v>
      </c>
      <c r="C13" s="14" t="s">
        <v>12</v>
      </c>
      <c r="D13" s="8"/>
      <c r="E13" s="8"/>
      <c r="F13" s="8"/>
      <c r="G13" s="8"/>
      <c r="H13" s="8"/>
      <c r="I13" s="9"/>
      <c r="J13" s="9"/>
      <c r="K13" s="9"/>
      <c r="L13" s="10"/>
      <c r="M13" s="10"/>
    </row>
    <row r="14">
      <c r="B14" s="11" t="s">
        <v>13</v>
      </c>
      <c r="C14" s="13" t="s">
        <v>14</v>
      </c>
      <c r="D14" s="8"/>
      <c r="E14" s="8"/>
      <c r="F14" s="8"/>
      <c r="G14" s="8"/>
      <c r="H14" s="8"/>
      <c r="I14" s="9"/>
      <c r="J14" s="9"/>
      <c r="K14" s="9"/>
      <c r="L14" s="10"/>
      <c r="M14" s="10"/>
    </row>
    <row r="15">
      <c r="B15" s="11" t="s">
        <v>15</v>
      </c>
      <c r="C15" s="13" t="s">
        <v>16</v>
      </c>
      <c r="D15" s="8"/>
      <c r="E15" s="8"/>
      <c r="F15" s="8"/>
      <c r="G15" s="8"/>
      <c r="H15" s="8"/>
      <c r="I15" s="9"/>
      <c r="J15" s="9"/>
      <c r="K15" s="9"/>
      <c r="L15" s="10"/>
      <c r="M15" s="10"/>
    </row>
    <row r="16">
      <c r="B16" s="11"/>
      <c r="C16" s="15" t="s">
        <v>17</v>
      </c>
      <c r="D16" s="16"/>
      <c r="E16" s="8"/>
      <c r="F16" s="8"/>
      <c r="G16" s="8"/>
      <c r="H16" s="8"/>
      <c r="I16" s="9"/>
      <c r="J16" s="9"/>
      <c r="K16" s="9"/>
      <c r="L16" s="10"/>
      <c r="M16" s="10"/>
    </row>
    <row r="17">
      <c r="B17" s="11" t="s">
        <v>18</v>
      </c>
      <c r="C17" s="17" t="s">
        <v>19</v>
      </c>
      <c r="D17" s="8"/>
      <c r="E17" s="8"/>
      <c r="F17" s="8"/>
      <c r="G17" s="8"/>
      <c r="H17" s="8"/>
      <c r="I17" s="9"/>
      <c r="J17" s="9"/>
      <c r="K17" s="9"/>
      <c r="L17" s="10"/>
      <c r="M17" s="10"/>
    </row>
    <row r="18">
      <c r="B18" s="18" t="s">
        <v>20</v>
      </c>
      <c r="C18" s="13" t="s">
        <v>21</v>
      </c>
      <c r="D18" s="8"/>
      <c r="E18" s="8"/>
      <c r="F18" s="8"/>
      <c r="G18" s="8"/>
      <c r="H18" s="8"/>
      <c r="I18" s="9"/>
      <c r="J18" s="9"/>
      <c r="K18" s="9"/>
      <c r="L18" s="10"/>
      <c r="M18" s="10"/>
    </row>
    <row r="19">
      <c r="B19" s="18"/>
      <c r="C19" s="15" t="s">
        <v>22</v>
      </c>
      <c r="D19" s="8"/>
      <c r="E19" s="8"/>
      <c r="F19" s="8"/>
      <c r="G19" s="8"/>
      <c r="H19" s="8"/>
      <c r="I19" s="9"/>
      <c r="J19" s="9"/>
      <c r="K19" s="9"/>
      <c r="L19" s="10"/>
      <c r="M19" s="10"/>
    </row>
    <row r="20">
      <c r="B20" s="18" t="s">
        <v>23</v>
      </c>
      <c r="C20" s="13" t="s">
        <v>24</v>
      </c>
      <c r="D20" s="8"/>
      <c r="E20" s="8"/>
      <c r="F20" s="8"/>
      <c r="G20" s="8"/>
      <c r="H20" s="8"/>
      <c r="I20" s="9"/>
      <c r="J20" s="9"/>
      <c r="K20" s="9"/>
      <c r="L20" s="10"/>
      <c r="M20" s="10"/>
    </row>
    <row r="21">
      <c r="B21" s="18" t="s">
        <v>25</v>
      </c>
      <c r="C21" s="13" t="s">
        <v>26</v>
      </c>
      <c r="D21" s="8"/>
      <c r="E21" s="8"/>
      <c r="F21" s="8"/>
      <c r="G21" s="8"/>
      <c r="H21" s="8"/>
      <c r="I21" s="9"/>
      <c r="J21" s="9"/>
      <c r="K21" s="9"/>
      <c r="L21" s="10"/>
      <c r="M21" s="10"/>
    </row>
    <row r="22">
      <c r="B22" s="11"/>
      <c r="C22" s="15" t="s">
        <v>27</v>
      </c>
      <c r="D22" s="8"/>
      <c r="E22" s="8"/>
      <c r="F22" s="8"/>
      <c r="G22" s="8"/>
      <c r="H22" s="8"/>
      <c r="I22" s="9"/>
      <c r="J22" s="9"/>
      <c r="K22" s="9"/>
      <c r="L22" s="10"/>
      <c r="M22" s="10"/>
    </row>
    <row r="23">
      <c r="B23" s="18" t="s">
        <v>28</v>
      </c>
      <c r="C23" s="12" t="s">
        <v>29</v>
      </c>
      <c r="D23" s="8"/>
      <c r="E23" s="8"/>
      <c r="F23" s="8"/>
      <c r="G23" s="8"/>
      <c r="H23" s="8"/>
      <c r="I23" s="9"/>
      <c r="J23" s="9"/>
      <c r="K23" s="9"/>
      <c r="L23" s="10"/>
      <c r="M23" s="10"/>
    </row>
    <row r="24">
      <c r="B24" s="11"/>
      <c r="C24" s="13"/>
      <c r="D24" s="8"/>
      <c r="E24" s="8"/>
      <c r="F24" s="8"/>
      <c r="G24" s="8"/>
      <c r="H24" s="8"/>
      <c r="I24" s="9"/>
      <c r="J24" s="9"/>
      <c r="K24" s="9"/>
      <c r="L24" s="10"/>
      <c r="M24" s="10"/>
    </row>
    <row r="25">
      <c r="B25" s="11"/>
      <c r="C25" s="8"/>
      <c r="D25" s="8"/>
      <c r="E25" s="8"/>
      <c r="F25" s="8"/>
      <c r="G25" s="8"/>
      <c r="H25" s="8"/>
      <c r="I25" s="9"/>
      <c r="J25" s="9"/>
      <c r="K25" s="9"/>
      <c r="L25" s="10"/>
      <c r="M25" s="10"/>
    </row>
    <row r="27">
      <c r="B27" s="19"/>
    </row>
    <row r="28">
      <c r="B28" s="20"/>
      <c r="C28" s="20"/>
      <c r="D28" s="20"/>
      <c r="E28" s="20"/>
      <c r="F28" s="20"/>
      <c r="G28" s="20"/>
      <c r="H28" s="20"/>
    </row>
    <row r="29">
      <c r="B29" s="21"/>
    </row>
    <row r="30" ht="48.75" customHeight="1"/>
    <row r="31">
      <c r="B31" s="22" t="s">
        <v>30</v>
      </c>
    </row>
    <row r="33">
      <c r="B33" s="23" t="s">
        <v>31</v>
      </c>
    </row>
    <row r="56">
      <c r="B56" s="23" t="s">
        <v>32</v>
      </c>
    </row>
    <row r="73">
      <c r="B73" s="23"/>
    </row>
    <row r="74">
      <c r="B74" s="23" t="s">
        <v>15</v>
      </c>
    </row>
    <row r="93">
      <c r="B93" s="23" t="s">
        <v>18</v>
      </c>
    </row>
    <row r="112">
      <c r="B112" s="23" t="s">
        <v>33</v>
      </c>
    </row>
    <row r="133">
      <c r="B133" s="23" t="s">
        <v>25</v>
      </c>
    </row>
    <row r="174" ht="53.25" customHeight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39">
      <c r="A1039" s="24" t="s">
        <v>34</v>
      </c>
    </row>
  </sheetData>
  <mergeCells count="3">
    <mergeCell ref="B7:C7"/>
    <mergeCell ref="B27:K27"/>
    <mergeCell ref="B29:K29"/>
  </mergeCells>
  <hyperlinks>
    <hyperlink r:id="rId1" location="items" ref="M2"/>
    <hyperlink r:id="rId2" ref="K3"/>
    <hyperlink r:id="rId3" ref="M3"/>
    <hyperlink r:id="rId4" ref="A1039"/>
  </hyperlin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4.88"/>
    <col customWidth="1" min="2" max="2" width="14.75"/>
    <col customWidth="1" min="3" max="3" width="34.13"/>
    <col customWidth="1" min="4" max="4" width="13.0"/>
    <col customWidth="1" min="5" max="5" width="27.75"/>
    <col customWidth="1" min="6" max="6" width="29.88"/>
    <col customWidth="1" min="7" max="7" width="13.38"/>
    <col customWidth="1" min="8" max="8" width="38.63"/>
    <col customWidth="1" min="9" max="9" width="16.13"/>
    <col customWidth="1" min="10" max="10" width="8.0"/>
    <col hidden="1" min="11" max="26" width="12.63"/>
  </cols>
  <sheetData>
    <row r="1">
      <c r="A1" s="25"/>
    </row>
    <row r="2" ht="226.5" customHeight="1"/>
    <row r="3">
      <c r="A3" s="26"/>
      <c r="B3" s="27" t="s">
        <v>35</v>
      </c>
      <c r="E3" s="27" t="s">
        <v>36</v>
      </c>
      <c r="H3" s="27" t="s">
        <v>37</v>
      </c>
    </row>
    <row r="4">
      <c r="A4" s="26"/>
      <c r="B4" s="26" t="s">
        <v>38</v>
      </c>
      <c r="C4" s="28" t="s">
        <v>39</v>
      </c>
      <c r="E4" s="29"/>
      <c r="F4" s="30"/>
      <c r="H4" s="29" t="s">
        <v>40</v>
      </c>
      <c r="I4" s="30">
        <f>F5-F7</f>
        <v>600000</v>
      </c>
    </row>
    <row r="5">
      <c r="A5" s="26"/>
      <c r="B5" s="26" t="s">
        <v>41</v>
      </c>
      <c r="C5" s="28" t="s">
        <v>42</v>
      </c>
      <c r="E5" s="29" t="s">
        <v>43</v>
      </c>
      <c r="F5" s="30">
        <v>750000.0</v>
      </c>
      <c r="H5" s="29" t="s">
        <v>44</v>
      </c>
      <c r="I5" s="31">
        <v>30.0</v>
      </c>
    </row>
    <row r="6">
      <c r="A6" s="26"/>
      <c r="B6" s="26" t="s">
        <v>45</v>
      </c>
      <c r="C6" s="28" t="s">
        <v>46</v>
      </c>
      <c r="E6" s="29" t="s">
        <v>47</v>
      </c>
      <c r="F6" s="32">
        <v>0.2</v>
      </c>
      <c r="H6" s="29" t="s">
        <v>48</v>
      </c>
      <c r="I6" s="33">
        <f>I5*12</f>
        <v>360</v>
      </c>
    </row>
    <row r="7">
      <c r="A7" s="26"/>
      <c r="B7" s="26" t="s">
        <v>49</v>
      </c>
      <c r="C7" s="28">
        <v>94025.0</v>
      </c>
      <c r="E7" s="29" t="s">
        <v>50</v>
      </c>
      <c r="F7" s="34">
        <f>F5*F6</f>
        <v>150000</v>
      </c>
      <c r="H7" s="29" t="s">
        <v>51</v>
      </c>
      <c r="I7" s="35">
        <v>0.055</v>
      </c>
    </row>
    <row r="8">
      <c r="A8" s="26"/>
      <c r="B8" s="26" t="s">
        <v>52</v>
      </c>
      <c r="C8" s="28">
        <v>2.0</v>
      </c>
      <c r="E8" s="29" t="s">
        <v>53</v>
      </c>
      <c r="F8" s="32">
        <v>0.02</v>
      </c>
      <c r="H8" s="29" t="s">
        <v>54</v>
      </c>
      <c r="I8" s="36">
        <f>PMT(I7/12,I6,I4)*-1</f>
        <v>3406.734008</v>
      </c>
    </row>
    <row r="9">
      <c r="A9" s="26"/>
      <c r="B9" s="26" t="s">
        <v>55</v>
      </c>
      <c r="C9" s="28">
        <v>2.0</v>
      </c>
      <c r="E9" s="29" t="s">
        <v>56</v>
      </c>
      <c r="F9" s="34">
        <f>F5*F8</f>
        <v>15000</v>
      </c>
      <c r="H9" s="29" t="s">
        <v>57</v>
      </c>
      <c r="I9" s="37">
        <f>I10*12</f>
        <v>5796</v>
      </c>
    </row>
    <row r="10">
      <c r="A10" s="26"/>
      <c r="B10" s="26" t="s">
        <v>58</v>
      </c>
      <c r="C10" s="28">
        <v>1500.0</v>
      </c>
      <c r="E10" s="29" t="s">
        <v>59</v>
      </c>
      <c r="F10" s="30">
        <v>20000.0</v>
      </c>
      <c r="H10" s="29" t="s">
        <v>60</v>
      </c>
      <c r="I10" s="30">
        <v>483.0</v>
      </c>
    </row>
    <row r="11">
      <c r="A11" s="26"/>
      <c r="B11" s="26" t="s">
        <v>61</v>
      </c>
      <c r="C11" s="28" t="s">
        <v>62</v>
      </c>
      <c r="E11" s="29" t="s">
        <v>63</v>
      </c>
      <c r="F11" s="30">
        <v>10000.0</v>
      </c>
      <c r="H11" s="29" t="s">
        <v>64</v>
      </c>
      <c r="I11" s="38">
        <f>I12*12</f>
        <v>1500</v>
      </c>
    </row>
    <row r="12">
      <c r="A12" s="26"/>
      <c r="B12" s="26" t="s">
        <v>65</v>
      </c>
      <c r="C12" s="28">
        <v>2014.0</v>
      </c>
      <c r="E12" s="29" t="s">
        <v>66</v>
      </c>
      <c r="F12" s="34">
        <f>SUM(F7+F9+F10+F11)</f>
        <v>195000</v>
      </c>
      <c r="H12" s="29" t="s">
        <v>67</v>
      </c>
      <c r="I12" s="30">
        <v>125.0</v>
      </c>
    </row>
    <row r="13">
      <c r="A13" s="26"/>
      <c r="B13" s="39" t="s">
        <v>68</v>
      </c>
      <c r="C13" s="28" t="s">
        <v>69</v>
      </c>
      <c r="H13" s="29" t="s">
        <v>70</v>
      </c>
      <c r="I13" s="38">
        <f>I14*12</f>
        <v>1152</v>
      </c>
    </row>
    <row r="14">
      <c r="E14" s="27"/>
      <c r="F14" s="27"/>
      <c r="H14" s="29" t="s">
        <v>71</v>
      </c>
      <c r="I14" s="30">
        <v>96.0</v>
      </c>
    </row>
    <row r="15">
      <c r="E15" s="27" t="s">
        <v>72</v>
      </c>
      <c r="H15" s="29" t="s">
        <v>73</v>
      </c>
      <c r="I15" s="30">
        <v>100.0</v>
      </c>
    </row>
    <row r="16">
      <c r="B16" s="40" t="s">
        <v>74</v>
      </c>
      <c r="C16" s="41"/>
      <c r="E16" s="29" t="s">
        <v>75</v>
      </c>
      <c r="F16" s="38">
        <f>F17*12</f>
        <v>88336.4</v>
      </c>
      <c r="H16" s="29" t="s">
        <v>76</v>
      </c>
      <c r="I16" s="30">
        <v>400.0</v>
      </c>
    </row>
    <row r="17">
      <c r="B17" s="42"/>
      <c r="C17" s="43"/>
      <c r="E17" s="29" t="s">
        <v>77</v>
      </c>
      <c r="F17" s="38">
        <f>((F18*365)/12*F19)+F20</f>
        <v>7361.366667</v>
      </c>
      <c r="H17" s="29" t="s">
        <v>78</v>
      </c>
      <c r="I17" s="34">
        <f>I18*12</f>
        <v>2650.092</v>
      </c>
    </row>
    <row r="18">
      <c r="B18" s="42"/>
      <c r="C18" s="43"/>
      <c r="E18" s="29" t="s">
        <v>79</v>
      </c>
      <c r="F18" s="30">
        <v>286.0</v>
      </c>
      <c r="H18" s="29" t="s">
        <v>80</v>
      </c>
      <c r="I18" s="34">
        <f>F17*0.03</f>
        <v>220.841</v>
      </c>
    </row>
    <row r="19">
      <c r="B19" s="42"/>
      <c r="C19" s="43"/>
      <c r="E19" s="29" t="s">
        <v>81</v>
      </c>
      <c r="F19" s="32">
        <v>0.76</v>
      </c>
      <c r="H19" s="29" t="s">
        <v>82</v>
      </c>
      <c r="I19" s="30">
        <v>750.0</v>
      </c>
    </row>
    <row r="20">
      <c r="B20" s="42"/>
      <c r="C20" s="43"/>
      <c r="E20" s="29" t="s">
        <v>82</v>
      </c>
      <c r="F20" s="30">
        <v>750.0</v>
      </c>
      <c r="H20" s="29" t="s">
        <v>83</v>
      </c>
      <c r="I20" s="30">
        <v>65.0</v>
      </c>
    </row>
    <row r="21">
      <c r="B21" s="42"/>
      <c r="C21" s="43"/>
      <c r="E21" s="29" t="s">
        <v>84</v>
      </c>
      <c r="F21" s="34">
        <f>F16-I27</f>
        <v>88336.4</v>
      </c>
      <c r="H21" s="29" t="s">
        <v>85</v>
      </c>
      <c r="I21" s="35">
        <v>0.04</v>
      </c>
    </row>
    <row r="22">
      <c r="B22" s="42"/>
      <c r="C22" s="43"/>
      <c r="E22" s="29" t="s">
        <v>86</v>
      </c>
      <c r="F22" s="44">
        <f>F21/F5</f>
        <v>0.1177818667</v>
      </c>
      <c r="H22" s="29" t="s">
        <v>87</v>
      </c>
      <c r="I22" s="45">
        <f>(F18*365)/12*F19*I21</f>
        <v>264.4546667</v>
      </c>
    </row>
    <row r="23">
      <c r="B23" s="42"/>
      <c r="C23" s="43"/>
      <c r="E23" s="29" t="s">
        <v>88</v>
      </c>
      <c r="F23" s="46">
        <f>E25/F12</f>
        <v>0.07704590719</v>
      </c>
      <c r="H23" s="29" t="s">
        <v>89</v>
      </c>
      <c r="I23" s="32">
        <v>0.03</v>
      </c>
    </row>
    <row r="24">
      <c r="B24" s="42"/>
      <c r="C24" s="43"/>
      <c r="E24" s="47"/>
      <c r="F24" s="48"/>
      <c r="H24" s="29" t="s">
        <v>90</v>
      </c>
      <c r="I24" s="38">
        <f>((F18*365)/12*F19)*I23</f>
        <v>198.341</v>
      </c>
    </row>
    <row r="25">
      <c r="B25" s="42"/>
      <c r="C25" s="43"/>
      <c r="E25" s="49">
        <f>F25*12</f>
        <v>15023.9519</v>
      </c>
      <c r="F25" s="49">
        <f>F17-H32</f>
        <v>1251.995992</v>
      </c>
    </row>
    <row r="26">
      <c r="B26" s="50"/>
      <c r="C26" s="51"/>
      <c r="E26" s="52" t="s">
        <v>91</v>
      </c>
      <c r="F26" s="52" t="s">
        <v>92</v>
      </c>
      <c r="H26" s="53">
        <f>H28*12</f>
        <v>32431.64</v>
      </c>
    </row>
    <row r="27">
      <c r="E27" s="29"/>
      <c r="F27" s="54"/>
      <c r="H27" s="55" t="s">
        <v>93</v>
      </c>
    </row>
    <row r="28" ht="38.25" customHeight="1">
      <c r="E28" s="29"/>
      <c r="F28" s="54"/>
      <c r="H28" s="56">
        <f>I10+I12+I14+I15+I16+I18+I19+I20+I22+I24</f>
        <v>2702.636667</v>
      </c>
    </row>
    <row r="29">
      <c r="D29" s="47"/>
      <c r="E29" s="29"/>
      <c r="F29" s="54"/>
      <c r="G29" s="57"/>
      <c r="H29" s="55" t="s">
        <v>94</v>
      </c>
    </row>
    <row r="30">
      <c r="D30" s="58"/>
      <c r="E30" s="29"/>
      <c r="F30" s="54"/>
      <c r="G30" s="58"/>
      <c r="H30" s="53">
        <f>H32*12</f>
        <v>73312.4481</v>
      </c>
    </row>
    <row r="31">
      <c r="E31" s="29"/>
      <c r="F31" s="54"/>
      <c r="H31" s="55" t="s">
        <v>95</v>
      </c>
    </row>
    <row r="32">
      <c r="E32" s="29"/>
      <c r="F32" s="44"/>
      <c r="H32" s="56">
        <f>H28+I8</f>
        <v>6109.370675</v>
      </c>
    </row>
    <row r="33">
      <c r="H33" s="55" t="s">
        <v>96</v>
      </c>
    </row>
    <row r="34">
      <c r="B34" s="59"/>
      <c r="H34" s="29"/>
      <c r="I34" s="54"/>
    </row>
    <row r="35" ht="32.25" customHeight="1">
      <c r="B35" s="60"/>
      <c r="H35" s="29"/>
      <c r="I35" s="54"/>
    </row>
    <row r="36" ht="33.0" customHeight="1">
      <c r="H36" s="29"/>
      <c r="I36" s="54"/>
    </row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</sheetData>
  <mergeCells count="16">
    <mergeCell ref="A1:J2"/>
    <mergeCell ref="B3:C3"/>
    <mergeCell ref="E3:F3"/>
    <mergeCell ref="H3:I3"/>
    <mergeCell ref="E15:F15"/>
    <mergeCell ref="B16:C26"/>
    <mergeCell ref="H26:I26"/>
    <mergeCell ref="B34:G34"/>
    <mergeCell ref="B35:G35"/>
    <mergeCell ref="H27:I27"/>
    <mergeCell ref="H28:I28"/>
    <mergeCell ref="H29:I29"/>
    <mergeCell ref="H30:I30"/>
    <mergeCell ref="H31:I31"/>
    <mergeCell ref="H32:I32"/>
    <mergeCell ref="H33:I33"/>
  </mergeCells>
  <conditionalFormatting sqref="E25">
    <cfRule type="cellIs" dxfId="0" priority="1" operator="greaterThan">
      <formula>0</formula>
    </cfRule>
  </conditionalFormatting>
  <conditionalFormatting sqref="F25">
    <cfRule type="cellIs" dxfId="1" priority="2" operator="greaterThan">
      <formula>0</formula>
    </cfRule>
  </conditionalFormatting>
  <conditionalFormatting sqref="E25">
    <cfRule type="cellIs" dxfId="2" priority="3" operator="lessThan">
      <formula>0</formula>
    </cfRule>
  </conditionalFormatting>
  <conditionalFormatting sqref="F25">
    <cfRule type="cellIs" dxfId="3" priority="4" operator="lessThan">
      <formula>0</formula>
    </cfRule>
  </conditionalFormatting>
  <conditionalFormatting sqref="H26:I26">
    <cfRule type="cellIs" dxfId="4" priority="5" operator="greaterThan">
      <formula>0</formula>
    </cfRule>
  </conditionalFormatting>
  <conditionalFormatting sqref="H28:I28">
    <cfRule type="cellIs" dxfId="3" priority="6" operator="greaterThan">
      <formula>0</formula>
    </cfRule>
  </conditionalFormatting>
  <conditionalFormatting sqref="H30:I30">
    <cfRule type="cellIs" dxfId="4" priority="7" operator="greaterThan">
      <formula>0</formula>
    </cfRule>
  </conditionalFormatting>
  <conditionalFormatting sqref="H32:I32">
    <cfRule type="cellIs" dxfId="3" priority="8" operator="greaterThan">
      <formula>0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7.38"/>
    <col customWidth="1" min="2" max="2" width="17.25"/>
    <col customWidth="1" min="3" max="3" width="35.5"/>
    <col customWidth="1" min="4" max="4" width="18.13"/>
    <col customWidth="1" min="5" max="6" width="18.5"/>
    <col customWidth="1" min="7" max="7" width="18.75"/>
    <col customWidth="1" min="8" max="8" width="18.5"/>
    <col customWidth="1" min="9" max="9" width="10.5"/>
    <col customWidth="1" min="10" max="10" width="32.25"/>
    <col customWidth="1" min="11" max="11" width="18.63"/>
    <col customWidth="1" min="12" max="12" width="10.63"/>
    <col hidden="1" min="13" max="27" width="12.63"/>
  </cols>
  <sheetData>
    <row r="1">
      <c r="A1" s="61"/>
      <c r="B1" s="61"/>
      <c r="C1" s="61"/>
      <c r="D1" s="61"/>
      <c r="E1" s="61"/>
      <c r="F1" s="61"/>
      <c r="G1" s="61"/>
      <c r="H1" s="61"/>
      <c r="I1" s="62"/>
      <c r="J1" s="61"/>
      <c r="K1" s="61"/>
      <c r="L1" s="63"/>
      <c r="M1" s="61"/>
      <c r="N1" s="61"/>
      <c r="O1" s="61"/>
    </row>
    <row r="2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4"/>
      <c r="M2" s="61"/>
      <c r="N2" s="61"/>
      <c r="O2" s="61"/>
    </row>
    <row r="3">
      <c r="A3" s="61"/>
      <c r="B3" s="61"/>
      <c r="C3" s="61"/>
      <c r="D3" s="65" t="s">
        <v>97</v>
      </c>
      <c r="E3" s="65" t="s">
        <v>98</v>
      </c>
      <c r="F3" s="65" t="s">
        <v>99</v>
      </c>
      <c r="G3" s="65" t="s">
        <v>100</v>
      </c>
      <c r="H3" s="65" t="s">
        <v>101</v>
      </c>
      <c r="I3" s="61"/>
      <c r="J3" s="61"/>
      <c r="K3" s="61"/>
      <c r="L3" s="64"/>
      <c r="M3" s="61"/>
      <c r="N3" s="61"/>
      <c r="O3" s="61"/>
      <c r="P3" s="61"/>
    </row>
    <row r="4">
      <c r="A4" s="61"/>
      <c r="B4" s="66" t="s">
        <v>102</v>
      </c>
      <c r="C4" s="67"/>
      <c r="D4" s="68"/>
      <c r="E4" s="69">
        <v>0.02</v>
      </c>
      <c r="F4" s="70">
        <v>0.02</v>
      </c>
      <c r="G4" s="70">
        <v>0.02</v>
      </c>
      <c r="H4" s="70">
        <v>0.02</v>
      </c>
      <c r="I4" s="61"/>
      <c r="J4" s="61"/>
      <c r="K4" s="61"/>
      <c r="L4" s="64"/>
      <c r="M4" s="61"/>
      <c r="N4" s="61"/>
      <c r="O4" s="61"/>
      <c r="P4" s="61"/>
    </row>
    <row r="5">
      <c r="A5" s="61"/>
      <c r="B5" s="71" t="s">
        <v>103</v>
      </c>
      <c r="C5" s="67"/>
      <c r="D5" s="72"/>
      <c r="E5" s="69">
        <v>0.03</v>
      </c>
      <c r="F5" s="70">
        <v>0.03</v>
      </c>
      <c r="G5" s="70">
        <v>0.03</v>
      </c>
      <c r="H5" s="70">
        <v>0.03</v>
      </c>
      <c r="I5" s="61"/>
      <c r="J5" s="61"/>
      <c r="K5" s="61"/>
      <c r="L5" s="64"/>
      <c r="M5" s="61"/>
      <c r="N5" s="61"/>
      <c r="O5" s="61"/>
      <c r="P5" s="61"/>
    </row>
    <row r="6">
      <c r="A6" s="61"/>
      <c r="B6" s="66" t="s">
        <v>104</v>
      </c>
      <c r="C6" s="67"/>
      <c r="D6" s="73"/>
      <c r="E6" s="69">
        <v>0.03</v>
      </c>
      <c r="F6" s="70">
        <v>0.03</v>
      </c>
      <c r="G6" s="70">
        <v>0.03</v>
      </c>
      <c r="H6" s="70">
        <v>0.03</v>
      </c>
      <c r="I6" s="61"/>
      <c r="J6" s="61"/>
      <c r="K6" s="61"/>
      <c r="L6" s="64"/>
      <c r="M6" s="61"/>
      <c r="N6" s="61"/>
      <c r="O6" s="61"/>
      <c r="P6" s="61"/>
    </row>
    <row r="7">
      <c r="A7" s="61"/>
      <c r="B7" s="74"/>
      <c r="C7" s="74"/>
      <c r="D7" s="61"/>
      <c r="E7" s="61"/>
      <c r="F7" s="61"/>
      <c r="G7" s="61"/>
      <c r="H7" s="61"/>
      <c r="I7" s="61"/>
      <c r="J7" s="75" t="s">
        <v>105</v>
      </c>
      <c r="K7" s="76"/>
      <c r="L7" s="64"/>
    </row>
    <row r="8">
      <c r="A8" s="61"/>
      <c r="B8" s="66" t="s">
        <v>106</v>
      </c>
      <c r="C8" s="67"/>
      <c r="D8" s="77">
        <f>Dashboard!F16</f>
        <v>88336.4</v>
      </c>
      <c r="E8" s="77">
        <f t="shared" ref="E8:H8" si="1">D8+(D8*E4)</f>
        <v>90103.128</v>
      </c>
      <c r="F8" s="77">
        <f t="shared" si="1"/>
        <v>91905.19056</v>
      </c>
      <c r="G8" s="77">
        <f t="shared" si="1"/>
        <v>93743.29437</v>
      </c>
      <c r="H8" s="77">
        <f t="shared" si="1"/>
        <v>95618.16026</v>
      </c>
      <c r="I8" s="61"/>
      <c r="J8" s="78" t="s">
        <v>107</v>
      </c>
      <c r="K8" s="79">
        <f t="shared" ref="K8:K10" si="3">SUM(D8:H8)</f>
        <v>459706.1732</v>
      </c>
      <c r="L8" s="64"/>
    </row>
    <row r="9">
      <c r="A9" s="61"/>
      <c r="B9" s="71" t="s">
        <v>108</v>
      </c>
      <c r="C9" s="67"/>
      <c r="D9" s="77">
        <f>Dashboard!H26</f>
        <v>32431.64</v>
      </c>
      <c r="E9" s="77">
        <f t="shared" ref="E9:H9" si="2">D9+(D9*E5)</f>
        <v>33404.5892</v>
      </c>
      <c r="F9" s="77">
        <f t="shared" si="2"/>
        <v>34406.72688</v>
      </c>
      <c r="G9" s="77">
        <f t="shared" si="2"/>
        <v>35438.92868</v>
      </c>
      <c r="H9" s="77">
        <f t="shared" si="2"/>
        <v>36502.09654</v>
      </c>
      <c r="I9" s="61"/>
      <c r="J9" s="80" t="s">
        <v>109</v>
      </c>
      <c r="K9" s="81">
        <f t="shared" si="3"/>
        <v>172183.9813</v>
      </c>
      <c r="L9" s="64"/>
    </row>
    <row r="10">
      <c r="A10" s="61"/>
      <c r="B10" s="66" t="s">
        <v>110</v>
      </c>
      <c r="C10" s="67"/>
      <c r="D10" s="77">
        <f>Dashboard!$I$8*12</f>
        <v>40880.8081</v>
      </c>
      <c r="E10" s="77">
        <f>Dashboard!$I$8*12</f>
        <v>40880.8081</v>
      </c>
      <c r="F10" s="77">
        <f>Dashboard!$I$8*12</f>
        <v>40880.8081</v>
      </c>
      <c r="G10" s="77">
        <f>Dashboard!$I$8*12</f>
        <v>40880.8081</v>
      </c>
      <c r="H10" s="77">
        <f>Dashboard!$I$8*12</f>
        <v>40880.8081</v>
      </c>
      <c r="I10" s="61"/>
      <c r="J10" s="82" t="s">
        <v>111</v>
      </c>
      <c r="K10" s="81">
        <f t="shared" si="3"/>
        <v>204404.0405</v>
      </c>
      <c r="L10" s="64"/>
    </row>
    <row r="1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4"/>
    </row>
    <row r="12">
      <c r="A12" s="61"/>
      <c r="B12" s="66" t="s">
        <v>112</v>
      </c>
      <c r="C12" s="67"/>
      <c r="D12" s="77">
        <f t="shared" ref="D12:H12" si="4">D8-D9-D10</f>
        <v>15023.9519</v>
      </c>
      <c r="E12" s="77">
        <f t="shared" si="4"/>
        <v>15817.7307</v>
      </c>
      <c r="F12" s="77">
        <f t="shared" si="4"/>
        <v>16617.65559</v>
      </c>
      <c r="G12" s="77">
        <f t="shared" si="4"/>
        <v>17423.55759</v>
      </c>
      <c r="H12" s="77">
        <f t="shared" si="4"/>
        <v>18235.25562</v>
      </c>
      <c r="I12" s="61"/>
      <c r="J12" s="83" t="s">
        <v>113</v>
      </c>
      <c r="K12" s="81">
        <f>SUM(D12:H12)</f>
        <v>83118.1514</v>
      </c>
      <c r="L12" s="64"/>
    </row>
    <row r="13">
      <c r="A13" s="61"/>
      <c r="B13" s="71" t="s">
        <v>114</v>
      </c>
      <c r="C13" s="67"/>
      <c r="D13" s="77">
        <f t="shared" ref="D13:H13" si="5">D12/12</f>
        <v>1251.995992</v>
      </c>
      <c r="E13" s="77">
        <f t="shared" si="5"/>
        <v>1318.144225</v>
      </c>
      <c r="F13" s="77">
        <f t="shared" si="5"/>
        <v>1384.804632</v>
      </c>
      <c r="G13" s="77">
        <f t="shared" si="5"/>
        <v>1451.963133</v>
      </c>
      <c r="H13" s="77">
        <f t="shared" si="5"/>
        <v>1519.604635</v>
      </c>
      <c r="I13" s="61"/>
      <c r="J13" s="84" t="s">
        <v>115</v>
      </c>
      <c r="K13" s="85">
        <f>SUM(D13:H13)/5</f>
        <v>1385.302523</v>
      </c>
      <c r="L13" s="64"/>
    </row>
    <row r="14">
      <c r="A14" s="61"/>
      <c r="B14" s="66" t="s">
        <v>116</v>
      </c>
      <c r="C14" s="67"/>
      <c r="D14" s="86">
        <f>D12/Dashboard!$F$12</f>
        <v>0.07704590719</v>
      </c>
      <c r="E14" s="86">
        <f>E12/Dashboard!$F$12</f>
        <v>0.08111656771</v>
      </c>
      <c r="F14" s="86">
        <f>F12/Dashboard!$F$12</f>
        <v>0.0852187466</v>
      </c>
      <c r="G14" s="86">
        <f>G12/Dashboard!$F$12</f>
        <v>0.08935157739</v>
      </c>
      <c r="H14" s="86">
        <f>H12/Dashboard!$F$12</f>
        <v>0.09351413138</v>
      </c>
      <c r="I14" s="61"/>
      <c r="J14" s="87"/>
      <c r="K14" s="88"/>
      <c r="L14" s="64"/>
    </row>
    <row r="15">
      <c r="A15" s="61"/>
      <c r="B15" s="66" t="s">
        <v>117</v>
      </c>
      <c r="C15" s="67"/>
      <c r="D15" s="89">
        <f>Dashboard!F5</f>
        <v>750000</v>
      </c>
      <c r="E15" s="90">
        <f t="shared" ref="E15:H15" si="6">D15+(D15*E6)</f>
        <v>772500</v>
      </c>
      <c r="F15" s="90">
        <f t="shared" si="6"/>
        <v>795675</v>
      </c>
      <c r="G15" s="90">
        <f t="shared" si="6"/>
        <v>819545.25</v>
      </c>
      <c r="H15" s="91">
        <f t="shared" si="6"/>
        <v>844131.6075</v>
      </c>
      <c r="I15" s="61"/>
      <c r="J15" s="92" t="s">
        <v>118</v>
      </c>
      <c r="K15" s="93">
        <f t="shared" ref="K15:K16" si="8">H15-D15</f>
        <v>94131.6075</v>
      </c>
      <c r="L15" s="64"/>
    </row>
    <row r="16">
      <c r="A16" s="61"/>
      <c r="B16" s="71" t="s">
        <v>119</v>
      </c>
      <c r="C16" s="67"/>
      <c r="D16" s="94">
        <f t="shared" ref="D16:H16" si="7">D26</f>
        <v>592119.1919</v>
      </c>
      <c r="E16" s="90">
        <f t="shared" si="7"/>
        <v>583804.9394</v>
      </c>
      <c r="F16" s="90">
        <f t="shared" si="7"/>
        <v>575033.4029</v>
      </c>
      <c r="G16" s="90">
        <f t="shared" si="7"/>
        <v>565779.432</v>
      </c>
      <c r="H16" s="95">
        <f t="shared" si="7"/>
        <v>556016.4927</v>
      </c>
      <c r="I16" s="61"/>
      <c r="J16" s="96" t="s">
        <v>120</v>
      </c>
      <c r="K16" s="81">
        <f t="shared" si="8"/>
        <v>-36102.69925</v>
      </c>
      <c r="L16" s="64"/>
    </row>
    <row r="17">
      <c r="A17" s="61"/>
      <c r="B17" s="71" t="s">
        <v>121</v>
      </c>
      <c r="C17" s="67"/>
      <c r="D17" s="89">
        <f>SUM(D15-D16)</f>
        <v>157880.8081</v>
      </c>
      <c r="E17" s="90">
        <f t="shared" ref="E17:H17" si="9">E15-E16</f>
        <v>188695.0606</v>
      </c>
      <c r="F17" s="90">
        <f t="shared" si="9"/>
        <v>220641.5971</v>
      </c>
      <c r="G17" s="90">
        <f t="shared" si="9"/>
        <v>253765.818</v>
      </c>
      <c r="H17" s="91">
        <f t="shared" si="9"/>
        <v>288115.1148</v>
      </c>
      <c r="I17" s="61"/>
      <c r="J17" s="83" t="s">
        <v>122</v>
      </c>
      <c r="K17" s="81">
        <f>K12+K15</f>
        <v>177249.7589</v>
      </c>
      <c r="L17" s="64"/>
    </row>
    <row r="18">
      <c r="A18" s="61"/>
      <c r="B18" s="61"/>
      <c r="C18" s="61"/>
      <c r="D18" s="61"/>
      <c r="E18" s="61"/>
      <c r="F18" s="61"/>
      <c r="G18" s="61"/>
      <c r="H18" s="61"/>
      <c r="I18" s="61"/>
      <c r="J18" s="96" t="s">
        <v>123</v>
      </c>
      <c r="K18" s="97">
        <f>K17/Dashboard!F12</f>
        <v>0.9089731226</v>
      </c>
      <c r="L18" s="64"/>
    </row>
    <row r="19" ht="32.25" customHeight="1">
      <c r="A19" s="61"/>
      <c r="B19" s="61"/>
      <c r="C19" s="61"/>
      <c r="D19" s="61"/>
      <c r="E19" s="61"/>
      <c r="F19" s="61"/>
      <c r="G19" s="61"/>
      <c r="H19" s="61"/>
      <c r="I19" s="61"/>
      <c r="J19" s="98" t="s">
        <v>124</v>
      </c>
      <c r="K19" s="81">
        <f>H15-(H15*0.03)-H16</f>
        <v>262791.1666</v>
      </c>
      <c r="L19" s="64"/>
    </row>
    <row r="20" ht="1.5" customHeight="1">
      <c r="A20" s="61"/>
      <c r="B20" s="61"/>
      <c r="C20" s="99"/>
      <c r="D20" s="99"/>
      <c r="E20" s="99"/>
      <c r="F20" s="99"/>
      <c r="G20" s="99"/>
      <c r="H20" s="99"/>
      <c r="I20" s="61"/>
      <c r="J20" s="100"/>
      <c r="K20" s="100"/>
      <c r="L20" s="64"/>
    </row>
    <row r="21">
      <c r="A21" s="61"/>
      <c r="B21" s="61"/>
      <c r="C21" s="101" t="s">
        <v>125</v>
      </c>
      <c r="D21" s="102"/>
      <c r="E21" s="102"/>
      <c r="F21" s="102"/>
      <c r="G21" s="102"/>
      <c r="H21" s="67"/>
      <c r="I21" s="61"/>
      <c r="J21" s="61"/>
      <c r="K21" s="61"/>
      <c r="L21" s="64"/>
    </row>
    <row r="22">
      <c r="A22" s="61"/>
      <c r="B22" s="61"/>
      <c r="C22" s="103" t="s">
        <v>40</v>
      </c>
      <c r="D22" s="104">
        <f>Dashboard!I4</f>
        <v>600000</v>
      </c>
      <c r="E22" s="104">
        <f t="shared" ref="E22:H22" si="10">D26</f>
        <v>592119.1919</v>
      </c>
      <c r="F22" s="104">
        <f t="shared" si="10"/>
        <v>583804.9394</v>
      </c>
      <c r="G22" s="104">
        <f t="shared" si="10"/>
        <v>575033.4029</v>
      </c>
      <c r="H22" s="104">
        <f t="shared" si="10"/>
        <v>565779.432</v>
      </c>
      <c r="I22" s="61"/>
      <c r="J22" s="61"/>
      <c r="K22" s="61"/>
      <c r="L22" s="64"/>
    </row>
    <row r="23">
      <c r="A23" s="61"/>
      <c r="B23" s="61"/>
      <c r="C23" s="105" t="s">
        <v>126</v>
      </c>
      <c r="D23" s="106">
        <f>Dashboard!$I$7/12</f>
        <v>0.004583333333</v>
      </c>
      <c r="E23" s="106">
        <f>Dashboard!$I$7/12</f>
        <v>0.004583333333</v>
      </c>
      <c r="F23" s="106">
        <f>Dashboard!$I$7/12</f>
        <v>0.004583333333</v>
      </c>
      <c r="G23" s="106">
        <f>Dashboard!$I$7/12</f>
        <v>0.004583333333</v>
      </c>
      <c r="H23" s="106">
        <f>Dashboard!$I$7/12</f>
        <v>0.004583333333</v>
      </c>
      <c r="I23" s="61"/>
      <c r="J23" s="61"/>
      <c r="K23" s="61"/>
      <c r="L23" s="64"/>
    </row>
    <row r="24">
      <c r="A24" s="61"/>
      <c r="B24" s="61"/>
      <c r="C24" s="103" t="s">
        <v>127</v>
      </c>
      <c r="D24" s="107">
        <f>PMT(D23,Dashboard!$I$6,-$D$22,0)*12</f>
        <v>40880.8081</v>
      </c>
      <c r="E24" s="107">
        <f>PMT(E23,Dashboard!$I$6,-$D$22,0)*12</f>
        <v>40880.8081</v>
      </c>
      <c r="F24" s="107">
        <f>PMT(F23,Dashboard!$I$6,-$D$22,0)*12</f>
        <v>40880.8081</v>
      </c>
      <c r="G24" s="107">
        <f>PMT(G23,Dashboard!$I$6,-$D$22,0)*12</f>
        <v>40880.8081</v>
      </c>
      <c r="H24" s="107">
        <f>PMT(H23,Dashboard!$I$6,-$D$22,0)*12</f>
        <v>40880.8081</v>
      </c>
      <c r="I24" s="61"/>
      <c r="J24" s="61"/>
      <c r="K24" s="61"/>
      <c r="L24" s="64"/>
    </row>
    <row r="25">
      <c r="A25" s="61"/>
      <c r="B25" s="61"/>
      <c r="C25" s="103" t="s">
        <v>128</v>
      </c>
      <c r="D25" s="104">
        <f t="shared" ref="D25:H25" si="11">D22*D23*12</f>
        <v>33000</v>
      </c>
      <c r="E25" s="104">
        <f t="shared" si="11"/>
        <v>32566.55555</v>
      </c>
      <c r="F25" s="104">
        <f t="shared" si="11"/>
        <v>32109.27166</v>
      </c>
      <c r="G25" s="104">
        <f t="shared" si="11"/>
        <v>31626.83716</v>
      </c>
      <c r="H25" s="104">
        <f t="shared" si="11"/>
        <v>31117.86876</v>
      </c>
      <c r="I25" s="61"/>
      <c r="J25" s="61"/>
      <c r="K25" s="61"/>
      <c r="L25" s="64"/>
    </row>
    <row r="26">
      <c r="A26" s="61"/>
      <c r="B26" s="61"/>
      <c r="C26" s="105" t="s">
        <v>129</v>
      </c>
      <c r="D26" s="104">
        <f t="shared" ref="D26:H26" si="12">D22-D24+D25</f>
        <v>592119.1919</v>
      </c>
      <c r="E26" s="104">
        <f t="shared" si="12"/>
        <v>583804.9394</v>
      </c>
      <c r="F26" s="104">
        <f t="shared" si="12"/>
        <v>575033.4029</v>
      </c>
      <c r="G26" s="104">
        <f t="shared" si="12"/>
        <v>565779.432</v>
      </c>
      <c r="H26" s="104">
        <f t="shared" si="12"/>
        <v>556016.4927</v>
      </c>
      <c r="I26" s="61"/>
      <c r="J26" s="61"/>
      <c r="K26" s="61"/>
      <c r="L26" s="64"/>
    </row>
    <row r="27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4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4"/>
    </row>
    <row r="29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1"/>
      <c r="L29" s="64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4"/>
    </row>
    <row r="31">
      <c r="A31" s="64"/>
      <c r="B31" s="64"/>
      <c r="C31" s="63"/>
      <c r="D31" s="63"/>
      <c r="E31" s="63"/>
      <c r="F31" s="63"/>
      <c r="G31" s="63"/>
      <c r="H31" s="64"/>
      <c r="I31" s="64"/>
      <c r="J31" s="64"/>
      <c r="K31" s="61"/>
      <c r="L31" s="64"/>
    </row>
    <row r="32" ht="76.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4"/>
    </row>
    <row r="33" hidden="1">
      <c r="A33" s="61"/>
      <c r="B33" s="61"/>
      <c r="H33" s="61"/>
    </row>
    <row r="34" hidden="1">
      <c r="B34" s="61"/>
      <c r="H34" s="61"/>
    </row>
    <row r="35" hidden="1">
      <c r="B35" s="61"/>
      <c r="H35" s="61"/>
    </row>
    <row r="36" hidden="1">
      <c r="H36" s="61"/>
    </row>
    <row r="37" hidden="1">
      <c r="H37" s="61"/>
    </row>
    <row r="38" hidden="1">
      <c r="H38" s="61"/>
    </row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t="1.5" customHeight="1">
      <c r="J1004" s="61"/>
    </row>
  </sheetData>
  <mergeCells count="14">
    <mergeCell ref="B12:C12"/>
    <mergeCell ref="B13:C13"/>
    <mergeCell ref="B14:C14"/>
    <mergeCell ref="B15:C15"/>
    <mergeCell ref="B16:C16"/>
    <mergeCell ref="B17:C17"/>
    <mergeCell ref="C21:H21"/>
    <mergeCell ref="B4:C4"/>
    <mergeCell ref="B5:C5"/>
    <mergeCell ref="B6:C6"/>
    <mergeCell ref="J7:K7"/>
    <mergeCell ref="B8:C8"/>
    <mergeCell ref="B9:C9"/>
    <mergeCell ref="B10:C10"/>
  </mergeCells>
  <conditionalFormatting sqref="K12:K15">
    <cfRule type="cellIs" dxfId="0" priority="1" operator="greaterThan">
      <formula>0</formula>
    </cfRule>
  </conditionalFormatting>
  <conditionalFormatting sqref="K16">
    <cfRule type="cellIs" dxfId="0" priority="2" operator="lessThanOrEqual">
      <formula>0</formula>
    </cfRule>
  </conditionalFormatting>
  <conditionalFormatting sqref="K16">
    <cfRule type="cellIs" dxfId="4" priority="3" operator="greaterThan">
      <formula>0</formula>
    </cfRule>
  </conditionalFormatting>
  <conditionalFormatting sqref="K17:K19">
    <cfRule type="cellIs" dxfId="0" priority="4" operator="greaterThan">
      <formula>0</formula>
    </cfRule>
  </conditionalFormatting>
  <conditionalFormatting sqref="K17:K19">
    <cfRule type="cellIs" dxfId="4" priority="5" operator="lessThan">
      <formula>0</formula>
    </cfRule>
  </conditionalFormatting>
  <conditionalFormatting sqref="K12:K15">
    <cfRule type="cellIs" dxfId="4" priority="6" operator="lessThan">
      <formula>0</formula>
    </cfRule>
  </conditionalFormatting>
  <conditionalFormatting sqref="D14:H14">
    <cfRule type="cellIs" dxfId="5" priority="7" operator="greaterThan">
      <formula>0</formula>
    </cfRule>
  </conditionalFormatting>
  <drawing r:id="rId1"/>
</worksheet>
</file>